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Yaksa\10010oci\2022\TRD\INFORMES\INFORMES_ORGANISMOS_ESTADO\EKOGUI\"/>
    </mc:Choice>
  </mc:AlternateContent>
  <bookViews>
    <workbookView xWindow="0" yWindow="0" windowWidth="16815" windowHeight="5850" tabRatio="777" activeTab="7"/>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<sst xmlns="http://schemas.openxmlformats.org/spreadsheetml/2006/main" count="274" uniqueCount="197">
  <si>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</si>
  <si>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</si>
  <si>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</si>
  <si>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</si>
  <si>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</si>
  <si>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</si>
  <si>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</si>
  <si>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</si>
  <si>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</si>
  <si>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</si>
  <si>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</si>
  <si>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</si>
  <si>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</si>
  <si>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</si>
  <si>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</si>
  <si>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</si>
  <si>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</si>
  <si>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</si>
  <si>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</si>
  <si>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</si>
  <si>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</si>
  <si>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</si>
  <si>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</si>
  <si>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</si>
  <si>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</si>
  <si>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</si>
  <si>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</si>
  <si>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</si>
  <si>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</si>
  <si>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</si>
  <si>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</si>
  <si>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</si>
  <si>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</si>
  <si>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</si>
  <si>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</si>
  <si>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</si>
  <si>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</si>
  <si>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</si>
  <si>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</si>
  <si>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</si>
  <si>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</si>
  <si>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</si>
  <si>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</si>
  <si>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</si>
  <si>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</si>
  <si>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</si>
  <si>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</si>
  <si>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</si>
  <si>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</si>
  <si>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</si>
  <si>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</si>
  <si>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</si>
  <si>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</si>
  <si>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</si>
  <si>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</si>
  <si>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</si>
  <si>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</si>
  <si>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</si>
  <si>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</si>
  <si>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</si>
  <si>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</si>
  <si>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</si>
  <si>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</si>
  <si>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</si>
  <si>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</si>
  <si>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</si>
  <si>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</si>
  <si>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</si>
  <si>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</si>
  <si>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</si>
  <si>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</si>
  <si>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</si>
  <si>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</si>
  <si>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</si>
  <si>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</si>
  <si>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</si>
  <si>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</si>
  <si>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</si>
  <si>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</si>
  <si>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</si>
  <si>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</si>
  <si>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</si>
  <si>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</si>
  <si>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</si>
  <si>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</si>
  <si>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</si>
  <si>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</si>
  <si>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</si>
  <si>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</si>
  <si>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</si>
  <si>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</si>
  <si>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</si>
  <si>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</si>
  <si>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</si>
  <si>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</si>
  <si>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</si>
  <si>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</si>
  <si>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</si>
  <si>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</si>
  <si>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</si>
  <si>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</si>
  <si>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</si>
  <si>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</si>
  <si>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</si>
  <si>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</si>
  <si>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</si>
  <si>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</si>
  <si>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</si>
  <si>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</si>
  <si>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</si>
  <si>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</si>
  <si>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</si>
  <si>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</si>
  <si>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</si>
  <si>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</si>
  <si>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</si>
  <si>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</si>
  <si>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</si>
  <si>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</si>
  <si>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</si>
  <si>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</si>
  <si>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</si>
  <si>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</si>
  <si>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</si>
  <si>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</si>
  <si>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</si>
  <si>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</si>
  <si>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</si>
  <si>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</si>
  <si>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</si>
  <si>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</si>
  <si>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</si>
  <si>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</si>
  <si>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</si>
  <si>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</si>
  <si>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</si>
  <si>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</si>
  <si>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</si>
  <si>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</si>
  <si>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</si>
  <si>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</si>
  <si>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</si>
  <si>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</si>
  <si>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</si>
  <si>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</si>
  <si>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</si>
  <si>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</si>
  <si>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</si>
  <si>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</si>
  <si>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</si>
  <si>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</si>
  <si>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</si>
  <si>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</si>
  <si>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</si>
  <si>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</si>
  <si>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</si>
  <si>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</si>
  <si>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</si>
  <si>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</si>
  <si>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</si>
  <si>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</si>
  <si>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</si>
  <si>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</si>
  <si>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</si>
  <si>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</si>
  <si>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</si>
  <si>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</si>
  <si>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</si>
  <si>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</si>
  <si>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</si>
  <si>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</si>
  <si>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</si>
  <si>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</si>
  <si>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</si>
  <si>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</si>
  <si>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</si>
  <si>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</si>
  <si>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</si>
  <si>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</si>
  <si>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</si>
  <si>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</si>
  <si>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</si>
  <si>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Armando Lopez Cortes</t>
  </si>
  <si>
    <t xml:space="preserve">Luz Stella Patiño Jurado </t>
  </si>
  <si>
    <t xml:space="preserve">Victor Hugo Calderon Jaramillo </t>
  </si>
  <si>
    <t xml:space="preserve">Jeanette Carolina Rivera Melo </t>
  </si>
  <si>
    <t>Yenny Marcela Herrera Martinez</t>
  </si>
  <si>
    <t>Adriana Marcela Ortega Moreno</t>
  </si>
  <si>
    <t xml:space="preserve">La administradora de la entidad  indica que los abogados durante el segundo semestre de 2021 , asistieron a las siguientes capacitaciones: 2021-09-01_Capacitación - Año de cumplir con la obligación de formular Política de Prevención del Daño Antijurídico. 2021-09-28_ Politica_prevension_daño_antijuridico_produccion_nomativa.                                                                                                                                                                                                                                                                                                                                                                El doctor Camilo Escovar Plata, se retiró con fecha 03/02/2022, por lo tanto aparece inactivo en la plataforma, sin embargo, con la revisión  efectuada se evidenció que tuvo actualizada la información de estudios y experiencia. </t>
  </si>
  <si>
    <t>Para la vigencia evaluada el Departamento Administrativo de la Función Pública no hizo parte de ningún arbitramento.</t>
  </si>
  <si>
    <t>DEPARTAMENTO ADMINISTRATIVO DE LA FUNCION PUBLICA</t>
  </si>
  <si>
    <t>LUZ STELLA PATIÑO JURADO</t>
  </si>
  <si>
    <t>El Jefe Jurídico  a la fecha no  ha asistido a capacitaciones de la ADNJE. La Jefe Financiera JEANETTE CAROLINA RIVERA MELO, renunció en el mes noviembre de 2021, aun se visualiza activa en el sistema.</t>
  </si>
  <si>
    <t>Para la vigencia evaluada el Departamento Administrativo de la Función Pública no efectuo pagos, con cargo a procesos judicales.</t>
  </si>
  <si>
    <t>PROCESOS ACTIVOS: La Oficina de Control Interno, pudo inferir que  la diferencia de 23 procesos radica en:                                
a. En el sistema Ekogui aparecen dos (2) procesos en estado terminado; el proceso identificado con el No. Ekogui 2211883, demandante Lucy Esperanza López, en este se decretó nulidad procesal, por error se dio por terminado en el sistema; señaló la administradora del DAFP, que procederá a solicitar se active de nuevo. También, el proceso No. Ekogui 802745 demandante Santiago Botero Arango, el cual efectivamente se encuentra terminado, sin embargo, el Grupo de Defensa Judicial siguió haciéndole seguimiento por cuanto se "declaró nulidad parcial y negó las demás pretensiones", por lo tanto no se le ha dado de baja en la base de datos.
b. En el mes de diciembre se notificaron previo al inicio de la vacancia judicial catorce (14) procesos judiciales, los cuales no aparecen registrados en el sistema Ekogui.
c. Adicionalmente, no aparecen registrados siete (7) procesos, uno (1) que por su antiguedad no pudo ser migrado a la nueva versión Ekogui, CUP No. 25000231500020040116301, demandante Raúl Mancera, situación que conoce la ANDJE;  cuatro procesos (4) que no se ven reflejados en el sistema y dos (2) procesos que aparecen con número de Ekogui en base de datos, pero al ser consultados en el sistema no sé visualizan, en estos dos últimos casos el grupo de defensa Judicial no explicó las razones de estas diferencias. 
PROCESOS TERMINADOS: El reporte Ekogui registra tres (3) procesos en estado “terminado”, teniendo en cuenta que uno se finalizó por error, se concluye que durante el segundo semestre 2021 se terminaron solo dos (2) procesos, estos fueron los que se analizaron en el acápite de “condenas”.                                                                                                                                                                                                                                                                                                                                                                          PROCESO DE MAS DE 33000 SMMLV CON PIEZA DE LA DEMANDA:   El grupo de Defensa Judicial señala que el Proceso No. 25000234100020130263500 (No. Ekogui 606711) no cuenta con la pieza de la demanda, por cuanto fue migrado por Ekogui y los documentos que reposan allí son los que la misma ANDJE subió sin que las partes en contienda pudieran interferir.   
PROCESOS SIN CALIFICACION: De los procesos activos en calidad de demandado, se observa que cinco (5) no han sido calificados, por cuanto aún no se ha contestado la demanda, procesos notificados de la admisión de la demanda, uno (1) en el mes de septiembre y los cuatro (4) restantes en el mes de diciembre.                                                                                                         
Fecha del Reporte Ekogui 11-02-2022 - Informacion recibida del Grupo de Defensa Judicial 20/02/2022.</t>
  </si>
  <si>
    <t xml:space="preserve">Fecha del reporte Ekogui 23 de febrero de 2022. Las seis (6)  conciliaciones extrajudiciales registradas entre el 01 de enero y el 30 de junio 2021, señala el grupo de Defensa Judicial que en estas solicitudes nos vincularon los convocantes, pero la procuraduría nunca vinculó al DAFP, y aún no se ha allegado auto admisorio de la demanda.  De las anteriores, cuatro (4) se encuentran dentro de la muestra tomada, el  acapite de actualización. </t>
  </si>
  <si>
    <t xml:space="preserve">La Oficina de Control Interno de Función Pública, una vez efectuada la verificación al cumplimiento de las obligaciones establecidas en el artículo 2.2.3.4.1.14 del Decreto 1069 de 2015,  concluye que  el Departamento Administrativo de la  Función Pública ha efectuado el registro de abogados activos, frente a los usuarios se evidenció que el perfil de Jefe Financiero, se encuentra desactualizado en razón a que en el mes de noviembre  renunció la profesional a cargo y continua activa en el sistema, en la actualidad hay un nuevo jefe.  Con relación,  a las diferencias presentadas entre los procesos judiciales  registrados en Ekogui y la base de datos del Grupo de Defensa Judicial, es necesario que se fortalezca el seguimiento por parte de los abogados del Grupo, para que la información sea coherente tanto de los procesos activos, como de los terminados, en ambas fuentes. Frente a las conciliaciones extrajudiciales en el segundo semestre de 2021, se evidenciaron que continúan activas seis (6) registradas en el primer semestre de 2021, por lo anterior se deberá hacer el seguimiento para terminarlas en el sistema.  En el periodo evaluado no se presentaron procesos arbitrales, ni se efectuaron pagos con cargo a procesos judiciales.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</si>
</sst>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14" fontId="0" fillId="2" borderId="12" xfId="0" applyNumberFormat="1" applyFill="1" applyBorder="1" applyProtection="1">
      <protection locked="0"/>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cellStyle name="Normal" xfId="0" builtinId="0"/>
    <cellStyle name="Porcentaje" xfId="1" builtinId="5"/>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18"/>
  <sheetViews>
    <sheetView showGridLines="0" topLeftCell="A4"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2" t="s">
        <v>78</v>
      </c>
      <c r="C3" s="93"/>
      <c r="D3" s="93"/>
      <c r="E3" s="93"/>
      <c r="F3" s="93"/>
      <c r="G3" s="93"/>
      <c r="H3" s="93"/>
      <c r="I3" s="93"/>
      <c r="J3" s="93"/>
      <c r="K3" s="93"/>
      <c r="L3" s="93"/>
      <c r="M3" s="93"/>
      <c r="N3" s="93"/>
      <c r="O3" s="94"/>
    </row>
    <row r="4" spans="2:15" ht="23.25" x14ac:dyDescent="0.35">
      <c r="B4" s="92" t="s">
        <v>11</v>
      </c>
      <c r="C4" s="93"/>
      <c r="D4" s="93"/>
      <c r="E4" s="93"/>
      <c r="F4" s="93"/>
      <c r="G4" s="93"/>
      <c r="H4" s="93"/>
      <c r="I4" s="93"/>
      <c r="J4" s="93"/>
      <c r="K4" s="93"/>
      <c r="L4" s="93"/>
      <c r="M4" s="93"/>
      <c r="N4" s="93"/>
      <c r="O4" s="94"/>
    </row>
    <row r="5" spans="2:15" x14ac:dyDescent="0.25">
      <c r="B5" s="5"/>
      <c r="C5" s="6"/>
      <c r="D5" s="6"/>
      <c r="E5" s="6"/>
      <c r="F5" s="6"/>
      <c r="G5" s="6"/>
      <c r="H5" s="6"/>
      <c r="I5" s="6"/>
      <c r="J5" s="6"/>
      <c r="K5" s="6"/>
      <c r="L5" s="6"/>
      <c r="M5" s="6"/>
      <c r="N5" s="6"/>
      <c r="O5" s="7"/>
    </row>
    <row r="6" spans="2:15" x14ac:dyDescent="0.25">
      <c r="B6" s="5"/>
      <c r="C6" s="95" t="s">
        <v>91</v>
      </c>
      <c r="D6" s="95"/>
      <c r="E6" s="95"/>
      <c r="F6" s="95"/>
      <c r="G6" s="95"/>
      <c r="H6" s="95"/>
      <c r="I6" s="95"/>
      <c r="J6" s="95"/>
      <c r="K6" s="95"/>
      <c r="L6" s="95"/>
      <c r="M6" s="95"/>
      <c r="N6" s="95"/>
      <c r="O6" s="7"/>
    </row>
    <row r="7" spans="2:15" x14ac:dyDescent="0.25">
      <c r="B7" s="5"/>
      <c r="C7" s="95"/>
      <c r="D7" s="95"/>
      <c r="E7" s="95"/>
      <c r="F7" s="95"/>
      <c r="G7" s="95"/>
      <c r="H7" s="95"/>
      <c r="I7" s="95"/>
      <c r="J7" s="95"/>
      <c r="K7" s="95"/>
      <c r="L7" s="95"/>
      <c r="M7" s="95"/>
      <c r="N7" s="95"/>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19"/>
  <sheetViews>
    <sheetView zoomScale="89" zoomScaleNormal="89"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6" t="s">
        <v>109</v>
      </c>
      <c r="C7" s="97"/>
      <c r="D7" s="97"/>
      <c r="E7" s="97"/>
      <c r="F7" s="97"/>
      <c r="G7" s="98"/>
      <c r="T7" s="1" t="s">
        <v>12</v>
      </c>
    </row>
    <row r="8" spans="2:20" ht="15.75" thickBot="1" x14ac:dyDescent="0.3">
      <c r="B8" s="14"/>
      <c r="C8" s="15"/>
      <c r="D8" s="104" t="s">
        <v>148</v>
      </c>
      <c r="E8" s="104"/>
      <c r="F8" s="15"/>
      <c r="G8" s="16"/>
      <c r="T8" s="1" t="s">
        <v>13</v>
      </c>
    </row>
    <row r="9" spans="2:20" ht="15.75" thickBot="1" x14ac:dyDescent="0.3">
      <c r="B9" s="102" t="s">
        <v>111</v>
      </c>
      <c r="C9" s="103"/>
      <c r="D9" s="79">
        <v>44613</v>
      </c>
      <c r="E9" s="15"/>
      <c r="F9" s="15"/>
      <c r="G9" s="16"/>
      <c r="T9" s="1" t="s">
        <v>14</v>
      </c>
    </row>
    <row r="10" spans="2:20" x14ac:dyDescent="0.25">
      <c r="B10" s="14" t="s">
        <v>174</v>
      </c>
      <c r="C10" s="15"/>
      <c r="D10" s="15"/>
      <c r="E10" s="15"/>
      <c r="F10" s="15"/>
      <c r="G10" s="67">
        <v>43545</v>
      </c>
    </row>
    <row r="11" spans="2:20" x14ac:dyDescent="0.25">
      <c r="B11" s="22" t="s">
        <v>15</v>
      </c>
      <c r="C11" s="23" t="s">
        <v>16</v>
      </c>
      <c r="D11" s="24" t="s">
        <v>6</v>
      </c>
      <c r="E11" s="23" t="s">
        <v>7</v>
      </c>
      <c r="F11" s="23" t="s">
        <v>17</v>
      </c>
      <c r="G11" s="25" t="s">
        <v>79</v>
      </c>
    </row>
    <row r="12" spans="2:20" x14ac:dyDescent="0.25">
      <c r="B12" s="21" t="s">
        <v>0</v>
      </c>
      <c r="C12" s="78" t="s">
        <v>12</v>
      </c>
      <c r="D12" s="79">
        <v>44265</v>
      </c>
      <c r="E12" s="78" t="s">
        <v>185</v>
      </c>
      <c r="F12" s="79"/>
      <c r="G12" s="80" t="str">
        <f>+IF(C12="SI",IF(F12&lt;$G$10,"DESACTUALIZADO",""),"")</f>
        <v>DESACTUALIZADO</v>
      </c>
      <c r="H12" s="42">
        <f t="shared" ref="H12:H17" si="0">+IF(C12="N/A",1,0)</f>
        <v>0</v>
      </c>
      <c r="I12" s="42">
        <f t="shared" ref="I12:I17" si="1">+IF(C12="Si",1,0)</f>
        <v>1</v>
      </c>
      <c r="J12" s="42">
        <f t="shared" ref="J12:J17" si="2">+IF(C12="No",1,0)</f>
        <v>0</v>
      </c>
    </row>
    <row r="13" spans="2:20" x14ac:dyDescent="0.25">
      <c r="B13" s="21" t="s">
        <v>1</v>
      </c>
      <c r="C13" s="78" t="s">
        <v>12</v>
      </c>
      <c r="D13" s="79">
        <v>43502</v>
      </c>
      <c r="E13" s="78" t="s">
        <v>182</v>
      </c>
      <c r="F13" s="78"/>
      <c r="G13" s="80" t="str">
        <f t="shared" ref="G13:G17" si="3">+IF(C13="SI",IF(F13&lt;$G$10,"DESACTUALIZADO",""),"")</f>
        <v>DESACTUALIZADO</v>
      </c>
      <c r="H13" s="42">
        <f t="shared" si="0"/>
        <v>0</v>
      </c>
      <c r="I13" s="42">
        <f t="shared" si="1"/>
        <v>1</v>
      </c>
      <c r="J13" s="42">
        <f t="shared" si="2"/>
        <v>0</v>
      </c>
    </row>
    <row r="14" spans="2:20" x14ac:dyDescent="0.25">
      <c r="B14" s="21" t="s">
        <v>2</v>
      </c>
      <c r="C14" s="78" t="s">
        <v>12</v>
      </c>
      <c r="D14" s="79">
        <v>43600</v>
      </c>
      <c r="E14" s="78" t="s">
        <v>186</v>
      </c>
      <c r="F14" s="91">
        <v>43557</v>
      </c>
      <c r="G14" s="80" t="str">
        <f t="shared" si="3"/>
        <v/>
      </c>
      <c r="H14" s="42">
        <f t="shared" si="0"/>
        <v>0</v>
      </c>
      <c r="I14" s="42">
        <f t="shared" si="1"/>
        <v>1</v>
      </c>
      <c r="J14" s="42">
        <f t="shared" si="2"/>
        <v>0</v>
      </c>
      <c r="T14" s="48">
        <v>43545</v>
      </c>
    </row>
    <row r="15" spans="2:20" x14ac:dyDescent="0.25">
      <c r="B15" s="21" t="s">
        <v>3</v>
      </c>
      <c r="C15" s="78" t="s">
        <v>12</v>
      </c>
      <c r="D15" s="79">
        <v>42198</v>
      </c>
      <c r="E15" s="78" t="s">
        <v>183</v>
      </c>
      <c r="F15" s="91">
        <v>44608</v>
      </c>
      <c r="G15" s="80" t="str">
        <f t="shared" si="3"/>
        <v/>
      </c>
      <c r="H15" s="42">
        <f t="shared" si="0"/>
        <v>0</v>
      </c>
      <c r="I15" s="42">
        <f t="shared" si="1"/>
        <v>1</v>
      </c>
      <c r="J15" s="42">
        <f t="shared" si="2"/>
        <v>0</v>
      </c>
    </row>
    <row r="16" spans="2:20" x14ac:dyDescent="0.25">
      <c r="B16" s="21" t="s">
        <v>4</v>
      </c>
      <c r="C16" s="78" t="s">
        <v>12</v>
      </c>
      <c r="D16" s="79">
        <v>44001</v>
      </c>
      <c r="E16" s="78" t="s">
        <v>184</v>
      </c>
      <c r="F16" s="91">
        <v>44378</v>
      </c>
      <c r="G16" s="80" t="str">
        <f t="shared" si="3"/>
        <v/>
      </c>
      <c r="H16" s="42">
        <f t="shared" si="0"/>
        <v>0</v>
      </c>
      <c r="I16" s="42">
        <f t="shared" si="1"/>
        <v>1</v>
      </c>
      <c r="J16" s="42">
        <f t="shared" si="2"/>
        <v>0</v>
      </c>
    </row>
    <row r="17" spans="2:10" x14ac:dyDescent="0.25">
      <c r="B17" s="21" t="s">
        <v>5</v>
      </c>
      <c r="C17" s="78" t="s">
        <v>12</v>
      </c>
      <c r="D17" s="79">
        <v>44118</v>
      </c>
      <c r="E17" s="78" t="s">
        <v>187</v>
      </c>
      <c r="F17" s="91">
        <v>44378</v>
      </c>
      <c r="G17" s="80"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94</v>
      </c>
      <c r="C19" s="99" t="s">
        <v>192</v>
      </c>
      <c r="D19" s="100"/>
      <c r="E19" s="100"/>
      <c r="F19" s="100"/>
      <c r="G19" s="101"/>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0" priority="12" operator="containsText" text="N/A">
      <formula>NOT(ISERROR(SEARCH("N/A",C12)))</formula>
    </cfRule>
    <cfRule type="containsBlanks" dxfId="39" priority="20">
      <formula>LEN(TRIM(C12))=0</formula>
    </cfRule>
  </conditionalFormatting>
  <conditionalFormatting sqref="D9">
    <cfRule type="containsBlanks" dxfId="38" priority="19">
      <formula>LEN(TRIM(D9))=0</formula>
    </cfRule>
  </conditionalFormatting>
  <conditionalFormatting sqref="D12:F17">
    <cfRule type="containsBlanks" dxfId="37" priority="14">
      <formula>LEN(TRIM(D12))=0</formula>
    </cfRule>
  </conditionalFormatting>
  <conditionalFormatting sqref="C19">
    <cfRule type="containsBlanks" dxfId="36" priority="13">
      <formula>LEN(TRIM(C19))=0</formula>
    </cfRule>
  </conditionalFormatting>
  <conditionalFormatting sqref="D12:F12">
    <cfRule type="expression" dxfId="35" priority="8">
      <formula>OR($C$12="No",$C$12="N/A")</formula>
    </cfRule>
  </conditionalFormatting>
  <conditionalFormatting sqref="D14:F14">
    <cfRule type="expression" dxfId="34" priority="7">
      <formula>OR($C$14="No",$C$14="N/A")</formula>
    </cfRule>
  </conditionalFormatting>
  <conditionalFormatting sqref="D13:F13">
    <cfRule type="expression" dxfId="33" priority="5">
      <formula>OR($C$13="No",$C$13="N/A")</formula>
    </cfRule>
  </conditionalFormatting>
  <conditionalFormatting sqref="D15:F15">
    <cfRule type="expression" dxfId="32" priority="3">
      <formula>OR($C$15="No",$C$15="N/A")</formula>
    </cfRule>
  </conditionalFormatting>
  <conditionalFormatting sqref="D16:F16">
    <cfRule type="expression" dxfId="31" priority="2">
      <formula>OR($C$16="No",$C$16="N/A")</formula>
    </cfRule>
  </conditionalFormatting>
  <conditionalFormatting sqref="D17:F17">
    <cfRule type="expression" dxfId="30" priority="1">
      <formula>OR($C$17="No",$C$17="N/A")</formula>
    </cfRule>
  </conditionalFormatting>
  <dataValidations count="5">
    <dataValidation type="date" showInputMessage="1" showErrorMessage="1" promptTitle="Fecha de Generacion del Reporte" prompt="Indique la fecha en que genera o Elabora este reporte de Usuarios Activos  No Abogados" sqref="D9">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formula1>$T$7:$T$9</formula1>
    </dataValidation>
    <dataValidation showInputMessage="1" showErrorMessage="1" sqref="E12 E14:E17"/>
    <dataValidation showInputMessage="1" showErrorMessage="1" errorTitle="Fecha invalida" error="La fecha debe estar entre el 01/01/2011 y el 31/03/2022" sqref="E13"/>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V26"/>
  <sheetViews>
    <sheetView showGridLines="0" topLeftCell="A4" zoomScale="91" zoomScaleNormal="91" workbookViewId="0">
      <selection activeCell="H19" sqref="H19"/>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4</v>
      </c>
    </row>
    <row r="4" spans="2:22" x14ac:dyDescent="0.25">
      <c r="B4" s="14"/>
      <c r="C4" s="15"/>
      <c r="D4" s="15"/>
      <c r="E4" s="15"/>
      <c r="F4" s="15"/>
      <c r="G4" s="15"/>
      <c r="H4" s="16"/>
    </row>
    <row r="5" spans="2:22" x14ac:dyDescent="0.25">
      <c r="B5" s="14"/>
      <c r="C5" s="15"/>
      <c r="D5" s="15" t="s">
        <v>148</v>
      </c>
      <c r="E5" s="15"/>
      <c r="F5" s="15"/>
      <c r="G5" s="15"/>
      <c r="H5" s="16"/>
    </row>
    <row r="6" spans="2:22" ht="15" customHeight="1" x14ac:dyDescent="0.25">
      <c r="B6" s="14"/>
      <c r="C6" s="27"/>
      <c r="D6" s="27"/>
      <c r="E6" s="27"/>
      <c r="G6" s="32"/>
      <c r="H6" s="33"/>
    </row>
    <row r="7" spans="2:22" ht="17.25" customHeight="1" x14ac:dyDescent="0.35">
      <c r="B7" s="14"/>
      <c r="C7" s="20" t="s">
        <v>111</v>
      </c>
      <c r="D7" s="79">
        <v>44613</v>
      </c>
      <c r="E7" s="26"/>
      <c r="F7" s="105" t="str">
        <f>"Seleccione una muestra de "&amp;V3&amp;" abogados activos y complete la siguiente tabla"</f>
        <v>Seleccione una muestra de 4 abogados activos y complete la siguiente tabla</v>
      </c>
      <c r="G7" s="106"/>
      <c r="H7" s="33"/>
    </row>
    <row r="8" spans="2:22" x14ac:dyDescent="0.25">
      <c r="B8" s="14"/>
      <c r="D8" s="15"/>
      <c r="E8" s="15"/>
      <c r="F8" s="107"/>
      <c r="G8" s="108"/>
      <c r="H8" s="16"/>
      <c r="T8" s="1" t="s">
        <v>13</v>
      </c>
    </row>
    <row r="9" spans="2:22" ht="23.25" x14ac:dyDescent="0.25">
      <c r="B9" s="14"/>
      <c r="C9" s="34" t="s">
        <v>149</v>
      </c>
      <c r="E9" s="6"/>
      <c r="F9" s="24" t="s">
        <v>98</v>
      </c>
      <c r="G9" s="24" t="s">
        <v>19</v>
      </c>
      <c r="H9" s="16"/>
      <c r="T9" s="1" t="s">
        <v>14</v>
      </c>
    </row>
    <row r="10" spans="2:22" x14ac:dyDescent="0.25">
      <c r="B10" s="14"/>
      <c r="C10" s="23" t="s">
        <v>150</v>
      </c>
      <c r="D10" s="23" t="s">
        <v>23</v>
      </c>
      <c r="E10" s="6"/>
      <c r="F10" s="20" t="s">
        <v>95</v>
      </c>
      <c r="G10" s="78">
        <v>4</v>
      </c>
      <c r="H10" s="16"/>
    </row>
    <row r="11" spans="2:22" x14ac:dyDescent="0.25">
      <c r="B11" s="14"/>
      <c r="C11" s="20" t="s">
        <v>21</v>
      </c>
      <c r="D11" s="78">
        <v>4</v>
      </c>
      <c r="E11" s="6"/>
      <c r="F11" s="20" t="s">
        <v>96</v>
      </c>
      <c r="G11" s="78">
        <v>4</v>
      </c>
      <c r="H11" s="16"/>
    </row>
    <row r="12" spans="2:22" x14ac:dyDescent="0.25">
      <c r="B12" s="14"/>
      <c r="C12" s="20" t="s">
        <v>22</v>
      </c>
      <c r="D12" s="78">
        <v>4</v>
      </c>
      <c r="E12" s="6"/>
      <c r="F12" s="20" t="s">
        <v>97</v>
      </c>
      <c r="G12" s="78">
        <v>4</v>
      </c>
      <c r="H12" s="16"/>
    </row>
    <row r="13" spans="2:22" x14ac:dyDescent="0.25">
      <c r="B13" s="14"/>
      <c r="C13" s="20" t="s">
        <v>26</v>
      </c>
      <c r="D13" s="78">
        <v>4</v>
      </c>
      <c r="E13" s="6"/>
      <c r="F13" s="52" t="s">
        <v>103</v>
      </c>
      <c r="G13" s="51"/>
      <c r="H13" s="16"/>
    </row>
    <row r="14" spans="2:22" x14ac:dyDescent="0.25">
      <c r="B14" s="14"/>
      <c r="E14" s="6"/>
      <c r="F14" s="53" t="s">
        <v>104</v>
      </c>
      <c r="G14" s="54"/>
      <c r="H14" s="16"/>
    </row>
    <row r="15" spans="2:22" x14ac:dyDescent="0.25">
      <c r="B15" s="14"/>
      <c r="E15" s="6"/>
      <c r="H15" s="16"/>
    </row>
    <row r="16" spans="2:22" x14ac:dyDescent="0.25">
      <c r="B16" s="14"/>
      <c r="C16" s="23" t="s">
        <v>24</v>
      </c>
      <c r="D16" s="23" t="s">
        <v>23</v>
      </c>
      <c r="E16" s="6"/>
      <c r="F16" s="24" t="s">
        <v>107</v>
      </c>
      <c r="G16" s="24" t="s">
        <v>19</v>
      </c>
      <c r="H16" s="16"/>
    </row>
    <row r="17" spans="2:8" x14ac:dyDescent="0.25">
      <c r="B17" s="14"/>
      <c r="C17" s="20" t="s">
        <v>175</v>
      </c>
      <c r="D17" s="78">
        <v>0</v>
      </c>
      <c r="E17" s="6"/>
      <c r="F17" s="20" t="s">
        <v>110</v>
      </c>
      <c r="G17" s="78">
        <v>4</v>
      </c>
      <c r="H17" s="16"/>
    </row>
    <row r="18" spans="2:8" x14ac:dyDescent="0.25">
      <c r="B18" s="14"/>
      <c r="C18" s="20" t="s">
        <v>176</v>
      </c>
      <c r="D18" s="78">
        <v>0</v>
      </c>
      <c r="E18" s="6"/>
      <c r="F18" s="49" t="s">
        <v>80</v>
      </c>
      <c r="G18" s="78">
        <v>0</v>
      </c>
      <c r="H18" s="16"/>
    </row>
    <row r="19" spans="2:8" x14ac:dyDescent="0.25">
      <c r="B19" s="14"/>
      <c r="C19" s="59"/>
      <c r="E19" s="6"/>
      <c r="F19" s="20" t="s">
        <v>100</v>
      </c>
      <c r="G19" s="78">
        <v>0</v>
      </c>
      <c r="H19" s="16"/>
    </row>
    <row r="20" spans="2:8" x14ac:dyDescent="0.25">
      <c r="B20" s="14"/>
      <c r="C20" s="59"/>
      <c r="E20" s="6"/>
      <c r="F20" s="20" t="s">
        <v>25</v>
      </c>
      <c r="G20" s="78">
        <v>0</v>
      </c>
      <c r="H20" s="16"/>
    </row>
    <row r="21" spans="2:8" x14ac:dyDescent="0.25">
      <c r="B21" s="14"/>
      <c r="C21" s="82" t="s">
        <v>99</v>
      </c>
      <c r="D21" s="83"/>
      <c r="E21" s="84"/>
      <c r="F21" s="86"/>
      <c r="G21" s="86"/>
      <c r="H21" s="85"/>
    </row>
    <row r="22" spans="2:8" x14ac:dyDescent="0.25">
      <c r="B22" s="14"/>
      <c r="C22" s="109" t="s">
        <v>188</v>
      </c>
      <c r="D22" s="110"/>
      <c r="E22" s="110"/>
      <c r="F22" s="110"/>
      <c r="G22" s="111"/>
      <c r="H22" s="16"/>
    </row>
    <row r="23" spans="2:8" x14ac:dyDescent="0.25">
      <c r="B23" s="14"/>
      <c r="C23" s="112"/>
      <c r="D23" s="113"/>
      <c r="E23" s="113"/>
      <c r="F23" s="113"/>
      <c r="G23" s="114"/>
      <c r="H23" s="16"/>
    </row>
    <row r="24" spans="2:8" x14ac:dyDescent="0.25">
      <c r="B24" s="14"/>
      <c r="C24" s="112"/>
      <c r="D24" s="113"/>
      <c r="E24" s="113"/>
      <c r="F24" s="113"/>
      <c r="G24" s="114"/>
      <c r="H24" s="16"/>
    </row>
    <row r="25" spans="2:8" x14ac:dyDescent="0.25">
      <c r="B25" s="14"/>
      <c r="C25" s="115"/>
      <c r="D25" s="116"/>
      <c r="E25" s="116"/>
      <c r="F25" s="116"/>
      <c r="G25" s="117"/>
      <c r="H25" s="16"/>
    </row>
    <row r="26" spans="2:8" ht="15.75" thickBot="1" x14ac:dyDescent="0.3">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formula1>0</formula1>
    </dataValidation>
    <dataValidation type="date" showInputMessage="1" showErrorMessage="1" errorTitle="FECHA INVALIDA" promptTitle="Fecha de Generacion del Reporte " prompt="Diligenciar la fecha de Generacion de este Reporte de Usuarios Abogados Formato (DD/MM/AAAA)" sqref="D7">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4"/>
  <sheetViews>
    <sheetView showGridLines="0" topLeftCell="D21" zoomScale="130" zoomScaleNormal="130" workbookViewId="0">
      <selection activeCell="I29" sqref="I29"/>
    </sheetView>
  </sheetViews>
  <sheetFormatPr baseColWidth="10"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3</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3" t="s">
        <v>68</v>
      </c>
      <c r="D6" s="123"/>
      <c r="E6" s="123"/>
      <c r="F6" s="123"/>
      <c r="G6" s="123"/>
      <c r="H6" s="123"/>
      <c r="I6" s="33"/>
    </row>
    <row r="7" spans="2:23" x14ac:dyDescent="0.25">
      <c r="B7" s="14"/>
      <c r="C7" s="15"/>
      <c r="D7" s="27"/>
      <c r="E7" s="81" t="s">
        <v>148</v>
      </c>
      <c r="F7" s="27"/>
      <c r="G7" s="15"/>
      <c r="H7" s="15"/>
      <c r="I7" s="16"/>
      <c r="U7" s="1" t="s">
        <v>13</v>
      </c>
    </row>
    <row r="8" spans="2:23" x14ac:dyDescent="0.25">
      <c r="B8" s="14"/>
      <c r="C8" s="23" t="s">
        <v>111</v>
      </c>
      <c r="D8" s="79">
        <v>44613</v>
      </c>
      <c r="E8" s="6"/>
      <c r="F8" s="37" t="s">
        <v>106</v>
      </c>
      <c r="G8" s="37" t="s">
        <v>18</v>
      </c>
      <c r="H8" s="15"/>
      <c r="I8" s="16"/>
      <c r="U8" s="1" t="s">
        <v>14</v>
      </c>
    </row>
    <row r="9" spans="2:23" x14ac:dyDescent="0.25">
      <c r="B9" s="14"/>
      <c r="E9" s="6"/>
      <c r="F9" s="20" t="s">
        <v>27</v>
      </c>
      <c r="G9" s="78">
        <v>2</v>
      </c>
      <c r="H9" s="15"/>
      <c r="I9" s="16"/>
    </row>
    <row r="10" spans="2:23" x14ac:dyDescent="0.25">
      <c r="B10" s="14"/>
      <c r="C10" s="23" t="s">
        <v>151</v>
      </c>
      <c r="D10" s="23" t="s">
        <v>23</v>
      </c>
      <c r="E10" s="6"/>
      <c r="F10" s="20" t="s">
        <v>60</v>
      </c>
      <c r="G10" s="78">
        <v>2</v>
      </c>
      <c r="H10" s="15"/>
      <c r="I10" s="16"/>
    </row>
    <row r="11" spans="2:23" x14ac:dyDescent="0.25">
      <c r="B11" s="14"/>
      <c r="C11" s="20" t="s">
        <v>28</v>
      </c>
      <c r="D11" s="78">
        <v>451</v>
      </c>
      <c r="E11" s="6"/>
      <c r="F11" s="20" t="s">
        <v>83</v>
      </c>
      <c r="G11" s="78">
        <v>2</v>
      </c>
      <c r="H11" s="15"/>
      <c r="I11" s="16"/>
    </row>
    <row r="12" spans="2:23" x14ac:dyDescent="0.25">
      <c r="B12" s="14"/>
      <c r="C12" s="20" t="s">
        <v>29</v>
      </c>
      <c r="D12" s="78">
        <v>428</v>
      </c>
      <c r="E12" s="6"/>
      <c r="F12" s="38" t="s">
        <v>158</v>
      </c>
      <c r="I12" s="16"/>
    </row>
    <row r="13" spans="2:23" x14ac:dyDescent="0.25">
      <c r="B13" s="14"/>
      <c r="C13" s="20" t="s">
        <v>81</v>
      </c>
      <c r="D13" s="78">
        <v>1</v>
      </c>
      <c r="E13" s="6"/>
      <c r="F13" s="38" t="s">
        <v>84</v>
      </c>
      <c r="I13" s="16"/>
    </row>
    <row r="14" spans="2:23" x14ac:dyDescent="0.25">
      <c r="B14" s="14"/>
      <c r="C14" s="38" t="s">
        <v>152</v>
      </c>
      <c r="E14" s="6"/>
      <c r="F14" s="24" t="s">
        <v>33</v>
      </c>
      <c r="G14" s="24" t="s">
        <v>23</v>
      </c>
      <c r="I14" s="16"/>
    </row>
    <row r="15" spans="2:23" x14ac:dyDescent="0.25">
      <c r="B15" s="14"/>
      <c r="C15" s="23" t="s">
        <v>153</v>
      </c>
      <c r="D15" s="23" t="s">
        <v>23</v>
      </c>
      <c r="E15" s="6"/>
      <c r="F15" s="20" t="s">
        <v>159</v>
      </c>
      <c r="G15" s="78">
        <v>424</v>
      </c>
      <c r="I15" s="16"/>
    </row>
    <row r="16" spans="2:23" x14ac:dyDescent="0.25">
      <c r="B16" s="14"/>
      <c r="C16" s="20" t="s">
        <v>154</v>
      </c>
      <c r="D16" s="78">
        <v>2</v>
      </c>
      <c r="E16" s="6"/>
      <c r="F16" s="20" t="s">
        <v>160</v>
      </c>
      <c r="G16" s="78">
        <v>417</v>
      </c>
      <c r="H16" s="15"/>
      <c r="I16" s="16"/>
    </row>
    <row r="17" spans="2:9" x14ac:dyDescent="0.25">
      <c r="B17" s="14"/>
      <c r="C17" s="20" t="s">
        <v>155</v>
      </c>
      <c r="D17" s="78">
        <v>3</v>
      </c>
      <c r="E17" s="6"/>
      <c r="F17" s="20" t="s">
        <v>161</v>
      </c>
      <c r="G17" s="78">
        <v>2</v>
      </c>
      <c r="H17" s="15"/>
      <c r="I17" s="16"/>
    </row>
    <row r="18" spans="2:9" x14ac:dyDescent="0.25">
      <c r="B18" s="14"/>
      <c r="C18" s="38" t="s">
        <v>113</v>
      </c>
      <c r="E18" s="6"/>
      <c r="F18" s="20" t="s">
        <v>35</v>
      </c>
      <c r="G18" s="78">
        <v>5</v>
      </c>
      <c r="H18" s="15"/>
      <c r="I18" s="16"/>
    </row>
    <row r="19" spans="2:9" x14ac:dyDescent="0.25">
      <c r="B19" s="14"/>
      <c r="E19" s="6"/>
      <c r="H19" s="15"/>
      <c r="I19" s="16"/>
    </row>
    <row r="20" spans="2:9" ht="29.25" customHeight="1" x14ac:dyDescent="0.25">
      <c r="B20" s="14"/>
      <c r="C20" s="50" t="s">
        <v>32</v>
      </c>
      <c r="D20" s="50" t="s">
        <v>23</v>
      </c>
      <c r="E20" s="6"/>
      <c r="F20" s="39" t="s">
        <v>105</v>
      </c>
      <c r="G20" s="39" t="s">
        <v>163</v>
      </c>
      <c r="H20" s="40" t="s">
        <v>67</v>
      </c>
      <c r="I20" s="16"/>
    </row>
    <row r="21" spans="2:9" x14ac:dyDescent="0.25">
      <c r="B21" s="14"/>
      <c r="C21" s="60" t="s">
        <v>156</v>
      </c>
      <c r="D21" s="78">
        <v>695</v>
      </c>
      <c r="E21" s="6"/>
      <c r="F21" s="20" t="s">
        <v>63</v>
      </c>
      <c r="G21" s="78">
        <v>5</v>
      </c>
      <c r="H21" s="78">
        <v>0</v>
      </c>
      <c r="I21" s="16"/>
    </row>
    <row r="22" spans="2:9" ht="15" customHeight="1" x14ac:dyDescent="0.25">
      <c r="B22" s="14"/>
      <c r="C22" s="60" t="s">
        <v>82</v>
      </c>
      <c r="D22" s="78">
        <v>17</v>
      </c>
      <c r="E22" s="6"/>
      <c r="F22" s="20" t="s">
        <v>64</v>
      </c>
      <c r="G22" s="78">
        <v>373</v>
      </c>
      <c r="H22" s="78">
        <v>373</v>
      </c>
      <c r="I22" s="16"/>
    </row>
    <row r="23" spans="2:9" ht="24.75" x14ac:dyDescent="0.25">
      <c r="B23" s="14"/>
      <c r="C23" s="66" t="s">
        <v>157</v>
      </c>
      <c r="D23" s="66"/>
      <c r="E23" s="6"/>
      <c r="F23" s="20" t="s">
        <v>65</v>
      </c>
      <c r="G23" s="78">
        <v>20</v>
      </c>
      <c r="H23" s="78">
        <v>20</v>
      </c>
      <c r="I23" s="16"/>
    </row>
    <row r="24" spans="2:9" x14ac:dyDescent="0.25">
      <c r="B24" s="14"/>
      <c r="C24" s="15"/>
      <c r="E24" s="6"/>
      <c r="F24" s="20" t="s">
        <v>66</v>
      </c>
      <c r="G24" s="78">
        <v>21</v>
      </c>
      <c r="H24" s="78">
        <v>21</v>
      </c>
      <c r="I24" s="16"/>
    </row>
    <row r="25" spans="2:9" ht="30" customHeight="1" x14ac:dyDescent="0.25">
      <c r="B25" s="14"/>
      <c r="C25" s="68" t="str">
        <f>"Seleccione "&amp;W3&amp;" procesos teminados en el  segundo semestre de 2021 y llene la siguiente tabla:"</f>
        <v>Seleccione 3 procesos teminados en el  segundo semestre de 2021 y llene la siguiente tabla:</v>
      </c>
      <c r="D25" s="63"/>
      <c r="E25" s="6"/>
      <c r="F25" s="124" t="s">
        <v>162</v>
      </c>
      <c r="G25" s="124"/>
      <c r="H25" s="124"/>
      <c r="I25" s="16"/>
    </row>
    <row r="26" spans="2:9" ht="15.75" thickBot="1" x14ac:dyDescent="0.3">
      <c r="B26" s="14"/>
      <c r="C26" s="64"/>
      <c r="D26" s="65"/>
      <c r="E26" s="6"/>
      <c r="F26" s="61"/>
      <c r="G26" s="15"/>
      <c r="H26" s="15"/>
      <c r="I26" s="16"/>
    </row>
    <row r="27" spans="2:9" x14ac:dyDescent="0.25">
      <c r="B27" s="14"/>
      <c r="C27" s="50" t="s">
        <v>93</v>
      </c>
      <c r="D27" s="50" t="s">
        <v>23</v>
      </c>
      <c r="E27" s="6"/>
      <c r="F27" s="118" t="s">
        <v>92</v>
      </c>
      <c r="G27" s="119"/>
      <c r="H27" s="120"/>
      <c r="I27" s="16"/>
    </row>
    <row r="28" spans="2:9" x14ac:dyDescent="0.25">
      <c r="B28" s="14"/>
      <c r="C28" s="20" t="s">
        <v>85</v>
      </c>
      <c r="D28" s="78">
        <v>2</v>
      </c>
      <c r="E28" s="6"/>
      <c r="F28" s="121" t="s">
        <v>194</v>
      </c>
      <c r="G28" s="122"/>
      <c r="H28" s="122"/>
      <c r="I28" s="16"/>
    </row>
    <row r="29" spans="2:9" x14ac:dyDescent="0.25">
      <c r="B29" s="14"/>
      <c r="C29" s="20" t="s">
        <v>86</v>
      </c>
      <c r="D29" s="78">
        <v>2</v>
      </c>
      <c r="E29" s="6"/>
      <c r="F29" s="122"/>
      <c r="G29" s="122"/>
      <c r="H29" s="122"/>
      <c r="I29" s="16"/>
    </row>
    <row r="30" spans="2:9" x14ac:dyDescent="0.25">
      <c r="B30" s="14"/>
      <c r="C30" s="20" t="s">
        <v>87</v>
      </c>
      <c r="D30" s="78">
        <v>0</v>
      </c>
      <c r="E30" s="6"/>
      <c r="F30" s="122"/>
      <c r="G30" s="122"/>
      <c r="H30" s="122"/>
      <c r="I30" s="16"/>
    </row>
    <row r="31" spans="2:9" x14ac:dyDescent="0.25">
      <c r="B31" s="14"/>
      <c r="C31" s="20" t="s">
        <v>88</v>
      </c>
      <c r="D31" s="78">
        <v>0</v>
      </c>
      <c r="E31" s="6"/>
      <c r="F31" s="122"/>
      <c r="G31" s="122"/>
      <c r="H31" s="122"/>
      <c r="I31" s="16"/>
    </row>
    <row r="32" spans="2:9" x14ac:dyDescent="0.25">
      <c r="B32" s="14"/>
      <c r="C32" s="20" t="s">
        <v>89</v>
      </c>
      <c r="D32" s="78">
        <v>0</v>
      </c>
      <c r="E32" s="6"/>
      <c r="F32" s="122"/>
      <c r="G32" s="122"/>
      <c r="H32" s="122"/>
      <c r="I32" s="16"/>
    </row>
    <row r="33" spans="2:9" x14ac:dyDescent="0.25">
      <c r="B33" s="14"/>
      <c r="C33" s="15"/>
      <c r="E33" s="6"/>
      <c r="F33" s="122"/>
      <c r="G33" s="122"/>
      <c r="H33" s="122"/>
      <c r="I33" s="16"/>
    </row>
    <row r="34" spans="2:9" ht="15.75" thickBot="1" x14ac:dyDescent="0.3">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3"/>
  <sheetViews>
    <sheetView showGridLines="0" topLeftCell="A3" workbookViewId="0">
      <selection activeCell="D18" sqref="D18"/>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7</v>
      </c>
    </row>
    <row r="3" spans="2:22" x14ac:dyDescent="0.25">
      <c r="B3" s="14"/>
      <c r="C3" s="15"/>
      <c r="D3" s="15"/>
      <c r="E3" s="15"/>
      <c r="F3" s="15"/>
      <c r="G3" s="15"/>
      <c r="H3" s="16"/>
      <c r="V3" s="28">
        <f>+IF(V2&lt;=20,V2,IF(ROUNDDOWN(V2*10%,0)&lt;20,20,ROUNDDOWN(V2*10%,0)))</f>
        <v>7</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3" t="s">
        <v>177</v>
      </c>
      <c r="D7" s="123"/>
      <c r="E7" s="123"/>
      <c r="F7" s="123"/>
      <c r="G7" s="123"/>
      <c r="H7" s="33"/>
    </row>
    <row r="8" spans="2:22" x14ac:dyDescent="0.25">
      <c r="B8" s="14"/>
      <c r="C8" s="15"/>
      <c r="D8" s="15"/>
      <c r="E8" s="89" t="s">
        <v>148</v>
      </c>
      <c r="H8" s="16"/>
      <c r="T8" s="1" t="s">
        <v>13</v>
      </c>
    </row>
    <row r="9" spans="2:22" ht="15" customHeight="1" x14ac:dyDescent="0.25">
      <c r="B9" s="14"/>
      <c r="C9" s="23" t="s">
        <v>178</v>
      </c>
      <c r="D9" s="23" t="s">
        <v>23</v>
      </c>
      <c r="E9" s="6"/>
      <c r="F9" s="105" t="str">
        <f>"Seleccione una muestra de "&amp;V3&amp;" prejudiciales activos registrados antes de 1 de julio de 2021 y complete la siguiente tabla"</f>
        <v>Seleccione una muestra de 7 prejudiciales activos registrados antes de 1 de julio de 2021 y complete la siguiente tabla</v>
      </c>
      <c r="G9" s="106"/>
      <c r="H9" s="16"/>
      <c r="T9" s="1" t="s">
        <v>14</v>
      </c>
    </row>
    <row r="10" spans="2:22" x14ac:dyDescent="0.25">
      <c r="B10" s="14"/>
      <c r="C10" s="20" t="s">
        <v>54</v>
      </c>
      <c r="D10" s="78">
        <v>2</v>
      </c>
      <c r="E10" s="6"/>
      <c r="F10" s="107"/>
      <c r="G10" s="108"/>
      <c r="H10" s="16"/>
    </row>
    <row r="11" spans="2:22" x14ac:dyDescent="0.25">
      <c r="B11" s="14"/>
      <c r="C11" s="20" t="s">
        <v>55</v>
      </c>
      <c r="D11" s="78">
        <v>9</v>
      </c>
      <c r="E11" s="6"/>
      <c r="F11" s="24" t="s">
        <v>32</v>
      </c>
      <c r="G11" s="24" t="s">
        <v>57</v>
      </c>
      <c r="H11" s="16"/>
    </row>
    <row r="12" spans="2:22" x14ac:dyDescent="0.25">
      <c r="B12" s="14"/>
      <c r="C12" s="20" t="s">
        <v>164</v>
      </c>
      <c r="D12" s="78">
        <v>2</v>
      </c>
      <c r="E12" s="6"/>
      <c r="F12" s="36" t="s">
        <v>58</v>
      </c>
      <c r="G12" s="78">
        <v>7</v>
      </c>
      <c r="H12" s="16"/>
    </row>
    <row r="13" spans="2:22" x14ac:dyDescent="0.25">
      <c r="B13" s="14"/>
      <c r="C13" s="20" t="s">
        <v>181</v>
      </c>
      <c r="D13" s="78">
        <v>6</v>
      </c>
      <c r="E13" s="6"/>
      <c r="F13" s="20" t="s">
        <v>180</v>
      </c>
      <c r="G13" s="78">
        <v>0</v>
      </c>
      <c r="H13" s="16"/>
    </row>
    <row r="14" spans="2:22" x14ac:dyDescent="0.25">
      <c r="B14" s="14"/>
      <c r="C14" s="20" t="s">
        <v>165</v>
      </c>
      <c r="D14" s="78">
        <v>1</v>
      </c>
      <c r="E14" s="6"/>
      <c r="F14"/>
      <c r="G14"/>
      <c r="H14" s="16"/>
    </row>
    <row r="15" spans="2:22" x14ac:dyDescent="0.25">
      <c r="B15" s="14"/>
      <c r="E15" s="6"/>
      <c r="F15"/>
      <c r="G15"/>
      <c r="H15" s="16"/>
    </row>
    <row r="16" spans="2:22" x14ac:dyDescent="0.25">
      <c r="B16" s="14"/>
      <c r="C16" s="23" t="s">
        <v>179</v>
      </c>
      <c r="D16" s="23" t="s">
        <v>23</v>
      </c>
      <c r="E16" s="6"/>
      <c r="F16" s="125" t="s">
        <v>92</v>
      </c>
      <c r="G16" s="125"/>
      <c r="H16" s="16"/>
    </row>
    <row r="17" spans="2:8" x14ac:dyDescent="0.25">
      <c r="B17" s="14"/>
      <c r="C17" s="20" t="s">
        <v>166</v>
      </c>
      <c r="D17" s="78">
        <v>4</v>
      </c>
      <c r="E17" s="6"/>
      <c r="F17" s="122" t="s">
        <v>195</v>
      </c>
      <c r="G17" s="122"/>
      <c r="H17" s="16"/>
    </row>
    <row r="18" spans="2:8" x14ac:dyDescent="0.25">
      <c r="B18" s="14"/>
      <c r="C18" s="20" t="s">
        <v>167</v>
      </c>
      <c r="D18" s="78">
        <v>4</v>
      </c>
      <c r="E18" s="6"/>
      <c r="F18" s="122"/>
      <c r="G18" s="122"/>
      <c r="H18" s="16"/>
    </row>
    <row r="19" spans="2:8" x14ac:dyDescent="0.25">
      <c r="B19" s="14"/>
      <c r="C19"/>
      <c r="D19"/>
      <c r="E19" s="6"/>
      <c r="F19" s="122"/>
      <c r="G19" s="122"/>
      <c r="H19" s="16"/>
    </row>
    <row r="20" spans="2:8" x14ac:dyDescent="0.25">
      <c r="B20" s="14"/>
      <c r="C20"/>
      <c r="D20"/>
      <c r="E20" s="6"/>
      <c r="F20" s="122"/>
      <c r="G20" s="122"/>
      <c r="H20" s="16"/>
    </row>
    <row r="21" spans="2:8" x14ac:dyDescent="0.25">
      <c r="B21" s="14"/>
      <c r="E21" s="6"/>
      <c r="F21" s="122"/>
      <c r="G21" s="122"/>
      <c r="H21" s="16"/>
    </row>
    <row r="22" spans="2:8" x14ac:dyDescent="0.25">
      <c r="B22" s="14"/>
      <c r="C22" s="15"/>
      <c r="D22" s="15"/>
      <c r="E22" s="6"/>
      <c r="F22" s="122"/>
      <c r="G22" s="122"/>
      <c r="H22" s="16"/>
    </row>
    <row r="23" spans="2:8" ht="15.75" thickBot="1" x14ac:dyDescent="0.3">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7"/>
  <sheetViews>
    <sheetView showGridLines="0" workbookViewId="0">
      <selection activeCell="F18" sqref="F18"/>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70</v>
      </c>
      <c r="D6" s="35"/>
      <c r="E6" s="26"/>
      <c r="F6"/>
      <c r="G6"/>
      <c r="H6" s="33"/>
    </row>
    <row r="7" spans="2:22" x14ac:dyDescent="0.25">
      <c r="B7" s="14"/>
      <c r="C7" s="15" t="s">
        <v>148</v>
      </c>
      <c r="D7" s="15"/>
      <c r="E7" s="15"/>
      <c r="F7"/>
      <c r="G7"/>
      <c r="H7" s="16"/>
      <c r="T7" s="1" t="s">
        <v>13</v>
      </c>
    </row>
    <row r="8" spans="2:22" x14ac:dyDescent="0.25">
      <c r="B8" s="14"/>
      <c r="C8" s="23" t="s">
        <v>70</v>
      </c>
      <c r="D8" s="23" t="s">
        <v>23</v>
      </c>
      <c r="E8" s="6"/>
      <c r="F8" s="23" t="s">
        <v>70</v>
      </c>
      <c r="G8" s="23" t="s">
        <v>23</v>
      </c>
      <c r="H8" s="16"/>
      <c r="T8" s="1" t="s">
        <v>14</v>
      </c>
    </row>
    <row r="9" spans="2:22" x14ac:dyDescent="0.25">
      <c r="B9" s="14"/>
      <c r="C9" s="20" t="s">
        <v>168</v>
      </c>
      <c r="D9" s="78">
        <v>0</v>
      </c>
      <c r="E9" s="6"/>
      <c r="F9" s="20" t="s">
        <v>169</v>
      </c>
      <c r="G9" s="78">
        <v>0</v>
      </c>
      <c r="H9" s="16"/>
    </row>
    <row r="10" spans="2:22" x14ac:dyDescent="0.25">
      <c r="B10" s="14"/>
      <c r="C10" s="20" t="s">
        <v>72</v>
      </c>
      <c r="D10" s="78">
        <v>0</v>
      </c>
      <c r="E10" s="6"/>
      <c r="F10" s="20" t="s">
        <v>90</v>
      </c>
      <c r="G10" s="78">
        <v>0</v>
      </c>
      <c r="H10" s="16"/>
    </row>
    <row r="11" spans="2:22" x14ac:dyDescent="0.25">
      <c r="B11" s="14"/>
      <c r="C11" s="15"/>
      <c r="D11" s="55"/>
      <c r="E11" s="6"/>
      <c r="F11" s="15"/>
      <c r="G11" s="56"/>
      <c r="H11" s="16"/>
    </row>
    <row r="12" spans="2:22" x14ac:dyDescent="0.25">
      <c r="B12" s="14"/>
      <c r="C12" s="57" t="s">
        <v>94</v>
      </c>
      <c r="D12" s="55"/>
      <c r="E12" s="6"/>
      <c r="F12" s="15"/>
      <c r="G12" s="56"/>
      <c r="H12" s="16"/>
      <c r="T12" s="1">
        <f>IF(D9="",0,1)</f>
        <v>1</v>
      </c>
    </row>
    <row r="13" spans="2:22" x14ac:dyDescent="0.25">
      <c r="B13" s="14"/>
      <c r="C13" s="109" t="s">
        <v>189</v>
      </c>
      <c r="D13" s="110"/>
      <c r="E13" s="110"/>
      <c r="F13" s="110"/>
      <c r="G13" s="111"/>
      <c r="H13" s="16"/>
    </row>
    <row r="14" spans="2:22" x14ac:dyDescent="0.25">
      <c r="B14" s="14"/>
      <c r="C14" s="112"/>
      <c r="D14" s="113"/>
      <c r="E14" s="113"/>
      <c r="F14" s="113"/>
      <c r="G14" s="114"/>
      <c r="H14" s="16"/>
    </row>
    <row r="15" spans="2:22" x14ac:dyDescent="0.25">
      <c r="B15" s="14"/>
      <c r="C15" s="112"/>
      <c r="D15" s="113"/>
      <c r="E15" s="113"/>
      <c r="F15" s="113"/>
      <c r="G15" s="114"/>
      <c r="H15" s="16"/>
    </row>
    <row r="16" spans="2:22" x14ac:dyDescent="0.25">
      <c r="B16" s="14"/>
      <c r="C16" s="115"/>
      <c r="D16" s="116"/>
      <c r="E16" s="116"/>
      <c r="F16" s="116"/>
      <c r="G16" s="117"/>
      <c r="H16" s="16"/>
      <c r="T16" s="1">
        <f>IF(G9="",0,1)</f>
        <v>1</v>
      </c>
    </row>
    <row r="17" spans="2:20" ht="15.75" thickBot="1" x14ac:dyDescent="0.3">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1"/>
  <sheetViews>
    <sheetView showGridLines="0" workbookViewId="0">
      <selection activeCell="E16" sqref="E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3" t="s">
        <v>8</v>
      </c>
      <c r="D6" s="123"/>
      <c r="E6" s="26"/>
      <c r="F6"/>
      <c r="G6"/>
      <c r="H6" s="33"/>
      <c r="T6" s="1" t="s">
        <v>12</v>
      </c>
    </row>
    <row r="7" spans="2:22" x14ac:dyDescent="0.25">
      <c r="B7" s="14"/>
      <c r="C7" s="15" t="s">
        <v>148</v>
      </c>
      <c r="D7" s="15"/>
      <c r="E7" s="15"/>
      <c r="F7" s="58" t="s">
        <v>94</v>
      </c>
      <c r="G7"/>
      <c r="H7" s="16"/>
      <c r="T7" s="1" t="s">
        <v>13</v>
      </c>
    </row>
    <row r="8" spans="2:22" x14ac:dyDescent="0.25">
      <c r="B8" s="14"/>
      <c r="C8" s="23" t="s">
        <v>31</v>
      </c>
      <c r="D8" s="23" t="s">
        <v>23</v>
      </c>
      <c r="E8" s="6"/>
      <c r="F8" s="109" t="s">
        <v>193</v>
      </c>
      <c r="G8" s="111"/>
      <c r="H8" s="16"/>
      <c r="T8" s="1" t="s">
        <v>14</v>
      </c>
    </row>
    <row r="9" spans="2:22" x14ac:dyDescent="0.25">
      <c r="B9" s="14"/>
      <c r="C9" s="20" t="s">
        <v>74</v>
      </c>
      <c r="D9" s="78" t="s">
        <v>12</v>
      </c>
      <c r="E9" s="6"/>
      <c r="F9" s="112"/>
      <c r="G9" s="114"/>
      <c r="H9" s="16"/>
    </row>
    <row r="10" spans="2:22" x14ac:dyDescent="0.25">
      <c r="B10" s="14"/>
      <c r="C10" s="20" t="s">
        <v>173</v>
      </c>
      <c r="D10" s="78">
        <v>0</v>
      </c>
      <c r="E10" s="6"/>
      <c r="F10" s="115"/>
      <c r="G10" s="117"/>
      <c r="H10" s="16"/>
    </row>
    <row r="11" spans="2:22" ht="15.75" thickBot="1" x14ac:dyDescent="0.3">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formula1>$T$6:$T$7</formula1>
    </dataValidation>
    <dataValidation type="whole" operator="greaterThanOrEqual" showInputMessage="1" showErrorMessage="1" errorTitle="Numero Invalido" promptTitle="Ingrese la cantidad Solicitada" prompt="Ingrese la cantidad Solicitada" sqref="D1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26"/>
  <sheetViews>
    <sheetView showGridLines="0" tabSelected="1" topLeftCell="B1" workbookViewId="0">
      <selection activeCell="B23" sqref="B23:F26"/>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7" t="s">
        <v>10</v>
      </c>
      <c r="C2" s="127"/>
      <c r="D2" s="127"/>
      <c r="E2" s="127"/>
      <c r="F2" s="127"/>
      <c r="G2" s="127"/>
      <c r="H2" s="46"/>
      <c r="I2" s="46"/>
      <c r="J2" s="46"/>
      <c r="K2" s="46"/>
      <c r="L2" s="46"/>
      <c r="M2" s="47"/>
    </row>
    <row r="3" spans="2:13" ht="18.75" x14ac:dyDescent="0.3">
      <c r="B3" s="127" t="s">
        <v>11</v>
      </c>
      <c r="C3" s="127"/>
      <c r="D3" s="127"/>
      <c r="E3" s="127"/>
      <c r="F3" s="127"/>
      <c r="G3" s="127"/>
      <c r="H3" s="46"/>
      <c r="I3" s="46"/>
      <c r="J3" s="46"/>
      <c r="K3" s="46"/>
      <c r="L3" s="46"/>
      <c r="M3" s="47"/>
    </row>
    <row r="4" spans="2:13" ht="23.25" x14ac:dyDescent="0.35">
      <c r="B4" s="41"/>
      <c r="C4" s="90"/>
      <c r="D4" s="90" t="s">
        <v>172</v>
      </c>
      <c r="E4" s="41"/>
      <c r="F4" s="41"/>
      <c r="G4" s="41"/>
      <c r="H4" s="41"/>
      <c r="I4" s="41"/>
      <c r="J4" s="41"/>
      <c r="K4" s="41"/>
      <c r="L4" s="41"/>
      <c r="M4" s="41"/>
    </row>
    <row r="5" spans="2:13" ht="15.75" thickBot="1" x14ac:dyDescent="0.3">
      <c r="B5" t="s">
        <v>170</v>
      </c>
      <c r="C5" s="126" t="s">
        <v>190</v>
      </c>
      <c r="D5" s="126"/>
      <c r="E5" s="126"/>
      <c r="F5" s="126"/>
      <c r="G5" s="126"/>
      <c r="H5" s="6"/>
      <c r="I5" s="6"/>
      <c r="J5" s="6"/>
    </row>
    <row r="6" spans="2:13" ht="15.75" thickBot="1" x14ac:dyDescent="0.3">
      <c r="B6" t="s">
        <v>171</v>
      </c>
      <c r="C6" s="126" t="s">
        <v>191</v>
      </c>
      <c r="D6" s="126"/>
      <c r="E6" s="126"/>
      <c r="F6" s="126"/>
      <c r="G6" s="126"/>
      <c r="H6" s="45"/>
      <c r="I6" s="45"/>
      <c r="J6" s="45"/>
    </row>
    <row r="7" spans="2:13" x14ac:dyDescent="0.25">
      <c r="H7" s="6"/>
      <c r="I7" s="6"/>
      <c r="J7" s="6"/>
    </row>
    <row r="8" spans="2:13" x14ac:dyDescent="0.25">
      <c r="B8" t="s">
        <v>38</v>
      </c>
      <c r="C8" s="44" t="str">
        <f>+IF(SUM(USUARIOS!I12:J17)=0,"Falta diligenciar","")</f>
        <v/>
      </c>
      <c r="E8" t="s">
        <v>77</v>
      </c>
      <c r="F8" s="44" t="str">
        <f>+IF(PREJUDICIALES!$D$10="","Falta  actualizar","")</f>
        <v/>
      </c>
    </row>
    <row r="9" spans="2:13" x14ac:dyDescent="0.25">
      <c r="B9" s="43" t="s">
        <v>41</v>
      </c>
      <c r="C9" s="88">
        <f>+SUM(USUARIOS!I12:I17)/(6-SUM(USUARIOS!H12:H17))</f>
        <v>1</v>
      </c>
      <c r="E9" s="43" t="s">
        <v>46</v>
      </c>
      <c r="F9" s="87">
        <f>+PREJUDICIALES!$D$11</f>
        <v>9</v>
      </c>
    </row>
    <row r="10" spans="2:13" x14ac:dyDescent="0.25">
      <c r="B10" s="43" t="s">
        <v>39</v>
      </c>
      <c r="C10" s="87">
        <f>+ABOGADOS!$D$12+SUM(USUARIOS!I12:I17)</f>
        <v>10</v>
      </c>
      <c r="E10" s="43" t="s">
        <v>44</v>
      </c>
      <c r="F10" s="88">
        <f>IFERROR(PREJUDICIALES!$D$11/PREJUDICIALES!$D$10,"")</f>
        <v>4.5</v>
      </c>
    </row>
    <row r="11" spans="2:13" x14ac:dyDescent="0.25">
      <c r="B11" s="43" t="s">
        <v>9</v>
      </c>
      <c r="C11" s="87" t="s">
        <v>108</v>
      </c>
      <c r="E11" s="43" t="s">
        <v>47</v>
      </c>
      <c r="F11" s="88">
        <f>IFERROR(PREJUDICIALES!$G$13/PREJUDICIALES!$V$3,"")</f>
        <v>0</v>
      </c>
    </row>
    <row r="12" spans="2:13" x14ac:dyDescent="0.25">
      <c r="B12" s="43" t="s">
        <v>40</v>
      </c>
      <c r="C12" s="88">
        <f>IFERROR((ABOGADOS!$G$17+ABOGADOS!$G$18+ABOGADOS!$G$19*0.5)/ABOGADOS!D12,"")</f>
        <v>1</v>
      </c>
    </row>
    <row r="13" spans="2:13" x14ac:dyDescent="0.25">
      <c r="E13" t="s">
        <v>70</v>
      </c>
      <c r="F13" s="44" t="str">
        <f>+IF(ARBITRAMENTOS!T17=0,"Falta  actualizar","")</f>
        <v/>
      </c>
    </row>
    <row r="14" spans="2:13" x14ac:dyDescent="0.25">
      <c r="B14" t="s">
        <v>76</v>
      </c>
      <c r="C14" s="44" t="str">
        <f>+IF(JUDICIALES!$D$11="","Falta  actualizar","")</f>
        <v/>
      </c>
      <c r="E14" s="43" t="s">
        <v>45</v>
      </c>
      <c r="F14" s="87">
        <f>+ARBITRAMENTOS!D10</f>
        <v>0</v>
      </c>
    </row>
    <row r="15" spans="2:13" x14ac:dyDescent="0.25">
      <c r="B15" s="43" t="s">
        <v>42</v>
      </c>
      <c r="C15" s="87">
        <f>+JUDICIALES!$D$12</f>
        <v>428</v>
      </c>
      <c r="E15" s="43" t="s">
        <v>44</v>
      </c>
      <c r="F15" s="88" t="str">
        <f>IFERROR(ARBITRAMENTOS!D10/ARBITRAMENTOS!D9,"")</f>
        <v/>
      </c>
    </row>
    <row r="16" spans="2:13" x14ac:dyDescent="0.25">
      <c r="B16" s="43" t="s">
        <v>44</v>
      </c>
      <c r="C16" s="88">
        <f>IFERROR(JUDICIALES!$D$12/JUDICIALES!$D$11,"")</f>
        <v>0.9490022172949002</v>
      </c>
    </row>
    <row r="17" spans="2:6" x14ac:dyDescent="0.25">
      <c r="B17" s="43" t="s">
        <v>50</v>
      </c>
      <c r="C17" s="88">
        <f>IFERROR(JUDICIALES!$G$11/JUDICIALES!$G$10,"")</f>
        <v>1</v>
      </c>
      <c r="E17" t="s">
        <v>73</v>
      </c>
      <c r="F17" s="44" t="str">
        <f>+IF(PAGOS!D9="","Falta  actualizar","")</f>
        <v/>
      </c>
    </row>
    <row r="18" spans="2:6" x14ac:dyDescent="0.25">
      <c r="B18" s="43" t="s">
        <v>43</v>
      </c>
      <c r="C18" s="87">
        <f>IFERROR(C15/ABOGADOS!$D$12,"")</f>
        <v>107</v>
      </c>
      <c r="E18" s="43" t="s">
        <v>48</v>
      </c>
      <c r="F18" s="87">
        <f>+PAGOS!D10</f>
        <v>0</v>
      </c>
    </row>
    <row r="19" spans="2:6" x14ac:dyDescent="0.25">
      <c r="B19" s="43" t="s">
        <v>75</v>
      </c>
      <c r="C19" s="88">
        <f>IFERROR(1-(JUDICIALES!$H$22+JUDICIALES!$H$23+JUDICIALES!$H$24)/(JUDICIALES!$G$22+JUDICIALES!$G$23+JUDICIALES!$G$24),"")</f>
        <v>0</v>
      </c>
      <c r="E19" s="43" t="s">
        <v>49</v>
      </c>
      <c r="F19" s="87" t="str">
        <f>+IF(PAGOS!D9="No","No aplica","si")</f>
        <v>si</v>
      </c>
    </row>
    <row r="21" spans="2:6" ht="15.75" thickBot="1" x14ac:dyDescent="0.3"/>
    <row r="22" spans="2:6" x14ac:dyDescent="0.25">
      <c r="B22" s="2" t="s">
        <v>94</v>
      </c>
      <c r="C22" s="3"/>
      <c r="D22" s="3"/>
      <c r="E22" s="3"/>
      <c r="F22" s="4"/>
    </row>
    <row r="23" spans="2:6" x14ac:dyDescent="0.25">
      <c r="B23" s="109" t="s">
        <v>196</v>
      </c>
      <c r="C23" s="110"/>
      <c r="D23" s="110"/>
      <c r="E23" s="110"/>
      <c r="F23" s="111"/>
    </row>
    <row r="24" spans="2:6" x14ac:dyDescent="0.25">
      <c r="B24" s="112"/>
      <c r="C24" s="113"/>
      <c r="D24" s="113"/>
      <c r="E24" s="113"/>
      <c r="F24" s="114"/>
    </row>
    <row r="25" spans="2:6" x14ac:dyDescent="0.25">
      <c r="B25" s="112"/>
      <c r="C25" s="113"/>
      <c r="D25" s="113"/>
      <c r="E25" s="113"/>
      <c r="F25" s="114"/>
    </row>
    <row r="26" spans="2:6" x14ac:dyDescent="0.25">
      <c r="B26" s="115"/>
      <c r="C26" s="116"/>
      <c r="D26" s="116"/>
      <c r="E26" s="116"/>
      <c r="F26" s="117"/>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25">
      <c r="A3" s="69" t="str">
        <f>'Resumen General'!C5</f>
        <v>DEPARTAMENTO ADMINISTRATIVO DE LA FUNCION PUBLICA</v>
      </c>
      <c r="B3" s="69" t="str">
        <f>'Resumen General'!C6</f>
        <v>LUZ STELLA PATIÑO JURADO</v>
      </c>
      <c r="C3" s="69">
        <f>+ABOGADOS!D11</f>
        <v>4</v>
      </c>
      <c r="D3" s="69">
        <f>+ABOGADOS!D12</f>
        <v>4</v>
      </c>
      <c r="E3" s="69">
        <f>+ABOGADOS!D13</f>
        <v>4</v>
      </c>
      <c r="F3" s="69">
        <f>+ABOGADOS!D14</f>
        <v>0</v>
      </c>
      <c r="G3" s="69">
        <f>+ABOGADOS!D17</f>
        <v>0</v>
      </c>
      <c r="H3" s="69">
        <f>+ABOGADOS!D18</f>
        <v>0</v>
      </c>
      <c r="I3" s="69">
        <f>+ABOGADOS!G10</f>
        <v>4</v>
      </c>
      <c r="J3" s="69">
        <f>+ABOGADOS!G11</f>
        <v>4</v>
      </c>
      <c r="K3" s="69">
        <f>+ABOGADOS!G12</f>
        <v>4</v>
      </c>
      <c r="L3" s="69">
        <f>+ABOGADOS!G17</f>
        <v>4</v>
      </c>
      <c r="M3" s="69">
        <f>+ABOGADOS!G18</f>
        <v>0</v>
      </c>
      <c r="N3" s="69">
        <f>+ABOGADOS!G19</f>
        <v>0</v>
      </c>
      <c r="O3" s="69">
        <f>+ABOGADOS!G21</f>
        <v>0</v>
      </c>
      <c r="P3" s="69">
        <f>+JUDICIALES!D11</f>
        <v>451</v>
      </c>
      <c r="Q3" s="69">
        <f>+JUDICIALES!D12</f>
        <v>428</v>
      </c>
      <c r="R3" s="69">
        <f>+JUDICIALES!D13</f>
        <v>1</v>
      </c>
      <c r="S3" s="69">
        <f>+JUDICIALES!D16</f>
        <v>2</v>
      </c>
      <c r="T3" s="69">
        <f>+JUDICIALES!D17</f>
        <v>3</v>
      </c>
      <c r="U3" s="69">
        <f>+JUDICIALES!D21</f>
        <v>695</v>
      </c>
      <c r="V3" s="69">
        <f>+JUDICIALES!D22</f>
        <v>17</v>
      </c>
      <c r="W3" s="69">
        <f>JUDICIALES!D28</f>
        <v>2</v>
      </c>
      <c r="X3" s="69">
        <f>JUDICIALES!D29</f>
        <v>2</v>
      </c>
      <c r="Y3" s="69">
        <f>JUDICIALES!D30</f>
        <v>0</v>
      </c>
      <c r="Z3" s="69">
        <f>JUDICIALES!D31</f>
        <v>0</v>
      </c>
      <c r="AA3" s="69">
        <f>JUDICIALES!D32</f>
        <v>0</v>
      </c>
      <c r="AB3" s="69">
        <f>+JUDICIALES!G9</f>
        <v>2</v>
      </c>
      <c r="AC3" s="69">
        <f>+JUDICIALES!G10</f>
        <v>2</v>
      </c>
      <c r="AD3" s="69">
        <f>+JUDICIALES!G11</f>
        <v>2</v>
      </c>
      <c r="AE3" s="69">
        <f>+JUDICIALES!G15</f>
        <v>424</v>
      </c>
      <c r="AF3" s="69">
        <f>+JUDICIALES!G16</f>
        <v>417</v>
      </c>
      <c r="AG3" s="69">
        <f>+JUDICIALES!G17</f>
        <v>2</v>
      </c>
      <c r="AH3" s="69">
        <f>+JUDICIALES!G18</f>
        <v>5</v>
      </c>
      <c r="AI3" s="69">
        <f>+JUDICIALES!G21</f>
        <v>5</v>
      </c>
      <c r="AJ3" s="69">
        <f>+JUDICIALES!G22</f>
        <v>373</v>
      </c>
      <c r="AK3" s="69">
        <f>+JUDICIALES!G23</f>
        <v>20</v>
      </c>
      <c r="AL3" s="69">
        <f>+JUDICIALES!G24</f>
        <v>21</v>
      </c>
      <c r="AM3" s="69">
        <f>+JUDICIALES!H21</f>
        <v>0</v>
      </c>
      <c r="AN3" s="69">
        <f>+JUDICIALES!H22</f>
        <v>373</v>
      </c>
      <c r="AO3" s="69">
        <f>+JUDICIALES!H23</f>
        <v>20</v>
      </c>
      <c r="AP3" s="69">
        <f>+JUDICIALES!H24</f>
        <v>21</v>
      </c>
      <c r="AQ3" s="69">
        <f>+PREJUDICIALES!D10</f>
        <v>2</v>
      </c>
      <c r="AR3" s="69">
        <f>+PREJUDICIALES!D11</f>
        <v>9</v>
      </c>
      <c r="AS3" s="69">
        <f>+PREJUDICIALES!D12</f>
        <v>2</v>
      </c>
      <c r="AT3" s="69">
        <f>+PREJUDICIALES!D13</f>
        <v>6</v>
      </c>
      <c r="AU3" s="69">
        <f>+PREJUDICIALES!D14</f>
        <v>1</v>
      </c>
      <c r="AV3" s="69">
        <f>+PREJUDICIALES!D17</f>
        <v>4</v>
      </c>
      <c r="AW3" s="69">
        <f>+PREJUDICIALES!D18</f>
        <v>4</v>
      </c>
      <c r="AX3" s="69">
        <f>+PREJUDICIALES!G12</f>
        <v>7</v>
      </c>
      <c r="AY3" s="69">
        <f>+PREJUDICIALES!G13</f>
        <v>0</v>
      </c>
      <c r="AZ3" s="69">
        <f>+ARBITRAMENTOS!D9</f>
        <v>0</v>
      </c>
      <c r="BA3" s="69">
        <f>+ARBITRAMENTOS!D10</f>
        <v>0</v>
      </c>
      <c r="BB3" s="69">
        <f>ARBITRAMENTOS!G9</f>
        <v>0</v>
      </c>
      <c r="BC3" s="69">
        <f>ARBITRAMENTOS!G10</f>
        <v>0</v>
      </c>
      <c r="BD3" s="69" t="str">
        <f>+PAGOS!D9</f>
        <v>Si</v>
      </c>
      <c r="BE3" s="69">
        <f>+PAGOS!D10</f>
        <v>0</v>
      </c>
      <c r="BF3" s="70">
        <f>USUARIOS!D9</f>
        <v>44613</v>
      </c>
      <c r="BG3" s="70">
        <f>ABOGADOS!D7</f>
        <v>44613</v>
      </c>
      <c r="BH3" s="70">
        <f>JUDICIALES!D8</f>
        <v>44613</v>
      </c>
      <c r="BI3" s="69" t="str">
        <f>+USUARIOS!C19</f>
        <v>El Jefe Jurídico  a la fecha no  ha asistido a capacitaciones de la ADNJE. La Jefe Financiera JEANETTE CAROLINA RIVERA MELO, renunció en el mes noviembre de 2021, aun se visualiza activa en el sistema.</v>
      </c>
      <c r="BJ3" s="69" t="str">
        <f>+ABOGADOS!C22</f>
        <v xml:space="preserve">La administradora de la entidad  indica que los abogados durante el segundo semestre de 2021 , asistieron a las siguientes capacitaciones: 2021-09-01_Capacitación - Año de cumplir con la obligación de formular Política de Prevención del Daño Antijurídico. 2021-09-28_ Politica_prevension_daño_antijuridico_produccion_nomativa.                                                                                                                                                                                                                                                                                                                                                                El doctor Camilo Escovar Plata, se retiró con fecha 03/02/2022, por lo tanto aparece inactivo en la plataforma, sin embargo, con la revisión  efectuada se evidenció que tuvo actualizada la información de estudios y experiencia. </v>
      </c>
      <c r="BK3" s="69" t="str">
        <f>+JUDICIALES!F28</f>
        <v>PROCESOS ACTIVOS: La Oficina de Control Interno, pudo inferir que  la diferencia de 23 procesos radica en:                                
a. En el sistema Ekogui aparecen dos (2) procesos en estado terminado; el proceso identificado con el No. Ekogui 2211883, demandante Lucy Esperanza López, en este se decretó nulidad procesal, por error se dio por terminado en el sistema; señaló la administradora del DAFP, que procederá a solicitar se active de nuevo. También, el proceso No. Ekogui 802745 demandante Santiago Botero Arango, el cual efectivamente se encuentra terminado, sin embargo, el Grupo de Defensa Judicial siguió haciéndole seguimiento por cuanto se "declaró nulidad parcial y negó las demás pretensiones", por lo tanto no se le ha dado de baja en la base de datos.
b. En el mes de diciembre se notificaron previo al inicio de la vacancia judicial catorce (14) procesos judiciales, los cuales no aparecen registrados en el sistema Ekogui.
c. Adicionalmente, no aparecen registrados siete (7) procesos, uno (1) que por su antiguedad no pudo ser migrado a la nueva versión Ekogui, CUP No. 25000231500020040116301, demandante Raúl Mancera, situación que conoce la ANDJE;  cuatro procesos (4) que no se ven reflejados en el sistema y dos (2) procesos que aparecen con número de Ekogui en base de datos, pero al ser consultados en el sistema no sé visualizan, en estos dos últimos casos el grupo de defensa Judicial no explicó las razones de estas diferencias. 
PROCESOS TERMINADOS: El reporte Ekogui registra tres (3) procesos en estado “terminado”, teniendo en cuenta que uno se finalizó por error, se concluye que durante el segundo semestre 2021 se terminaron solo dos (2) procesos, estos fueron los que se analizaron en el acápite de “condenas”.                                                                                                                                                                                                                                                                                                                                                                          PROCESO DE MAS DE 33000 SMMLV CON PIEZA DE LA DEMANDA:   El grupo de Defensa Judicial señala que el Proceso No. 25000234100020130263500 (No. Ekogui 606711) no cuenta con la pieza de la demanda, por cuanto fue migrado por Ekogui y los documentos que reposan allí son los que la misma ANDJE subió sin que las partes en contienda pudieran interferir.   
PROCESOS SIN CALIFICACION: De los procesos activos en calidad de demandado, se observa que cinco (5) no han sido calificados, por cuanto aún no se ha contestado la demanda, procesos notificados de la admisión de la demanda, uno (1) en el mes de septiembre y los cuatro (4) restantes en el mes de diciembre.                                                                                                         
Fecha del Reporte Ekogui 11-02-2022 - Informacion recibida del Grupo de Defensa Judicial 20/02/2022.</v>
      </c>
      <c r="BL3" s="69" t="str">
        <f>+PREJUDICIALES!F17</f>
        <v xml:space="preserve">Fecha del reporte Ekogui 23 de febrero de 2022. Las seis (6)  conciliaciones extrajudiciales registradas entre el 01 de enero y el 30 de junio 2021, señala el grupo de Defensa Judicial que en estas solicitudes nos vincularon los convocantes, pero la procuraduría nunca vinculó al DAFP, y aún no se ha allegado auto admisorio de la demanda.  De las anteriores, cuatro (4) se encuentran dentro de la muestra tomada, el  acapite de actualización. </v>
      </c>
      <c r="BM3" s="69" t="str">
        <f>+ARBITRAMENTOS!C13</f>
        <v>Para la vigencia evaluada el Departamento Administrativo de la Función Pública no hizo parte de ningún arbitramento.</v>
      </c>
      <c r="BN3" s="69" t="str">
        <f>+PAGOS!F8</f>
        <v>Para la vigencia evaluada el Departamento Administrativo de la Función Pública no efectuo pagos, con cargo a procesos judicales.</v>
      </c>
      <c r="BO3" s="69" t="str">
        <f>'Resumen General'!B23</f>
        <v xml:space="preserve">La Oficina de Control Interno de Función Pública, una vez efectuada la verificación al cumplimiento de las obligaciones establecidas en el artículo 2.2.3.4.1.14 del Decreto 1069 de 2015,  concluye que  el Departamento Administrativo de la  Función Pública ha efectuado el registro de abogados activos, frente a los usuarios se evidenció que el perfil de Jefe Financiero, se encuentra desactualizado en razón a que en el mes de noviembre  renunció la profesional a cargo y continua activa en el sistema, en la actualidad hay un nuevo jefe.  Con relación,  a las diferencias presentadas entre los procesos judiciales  registrados en Ekogui y la base de datos del Grupo de Defensa Judicial, es necesario que se fortalezca el seguimiento por parte de los abogados del Grupo, para que la información sea coherente tanto de los procesos activos, como de los terminados, en ambas fuentes. Frente a las conciliaciones extrajudiciales en el segundo semestre de 2021, se evidenciaron que continúan activas seis (6) registradas en el primer semestre de 2021, por lo anterior se deberá hacer el seguimiento para terminarlas en el sistema.  En el periodo evaluado no se presentaron procesos arbitrales, ni se efectuaron pagos con cargo a procesos judiciales.  </v>
      </c>
    </row>
    <row r="12" spans="1:67" x14ac:dyDescent="0.25">
      <c r="A12" s="69" t="s">
        <v>37</v>
      </c>
      <c r="B12" s="69" t="s">
        <v>15</v>
      </c>
      <c r="C12" s="72" t="s">
        <v>16</v>
      </c>
      <c r="D12" s="72" t="s">
        <v>6</v>
      </c>
      <c r="E12" s="72" t="s">
        <v>7</v>
      </c>
      <c r="F12" s="72" t="s">
        <v>17</v>
      </c>
      <c r="G12" s="72" t="s">
        <v>79</v>
      </c>
    </row>
    <row r="13" spans="1:67" x14ac:dyDescent="0.25">
      <c r="A13" s="69" t="str">
        <f t="shared" ref="A13:A18" si="0">$A$3</f>
        <v>DEPARTAMENTO ADMINISTRATIVO DE LA FUNCION PUBLICA</v>
      </c>
      <c r="B13" s="69" t="s">
        <v>0</v>
      </c>
      <c r="C13" s="69" t="str">
        <f>USUARIOS!C12</f>
        <v>Si</v>
      </c>
      <c r="D13" s="71">
        <f>USUARIOS!D12</f>
        <v>44265</v>
      </c>
      <c r="E13" s="69" t="str">
        <f>USUARIOS!E12</f>
        <v xml:space="preserve">Jeanette Carolina Rivera Melo </v>
      </c>
      <c r="F13" s="71">
        <f>USUARIOS!F12</f>
        <v>0</v>
      </c>
      <c r="G13" s="69" t="str">
        <f>USUARIOS!G12</f>
        <v>DESACTUALIZADO</v>
      </c>
    </row>
    <row r="14" spans="1:67" x14ac:dyDescent="0.25">
      <c r="A14" s="69" t="str">
        <f t="shared" si="0"/>
        <v>DEPARTAMENTO ADMINISTRATIVO DE LA FUNCION PUBLICA</v>
      </c>
      <c r="B14" s="69" t="s">
        <v>1</v>
      </c>
      <c r="C14" s="69" t="str">
        <f>USUARIOS!C13</f>
        <v>Si</v>
      </c>
      <c r="D14" s="71">
        <f>USUARIOS!D13</f>
        <v>43502</v>
      </c>
      <c r="E14" s="69" t="str">
        <f>USUARIOS!E13</f>
        <v>Armando Lopez Cortes</v>
      </c>
      <c r="F14" s="71">
        <f>USUARIOS!F13</f>
        <v>0</v>
      </c>
      <c r="G14" s="69" t="str">
        <f>USUARIOS!G13</f>
        <v>DESACTUALIZADO</v>
      </c>
    </row>
    <row r="15" spans="1:67" x14ac:dyDescent="0.25">
      <c r="A15" s="69" t="str">
        <f t="shared" si="0"/>
        <v>DEPARTAMENTO ADMINISTRATIVO DE LA FUNCION PUBLICA</v>
      </c>
      <c r="B15" s="69" t="s">
        <v>2</v>
      </c>
      <c r="C15" s="69" t="str">
        <f>USUARIOS!C14</f>
        <v>Si</v>
      </c>
      <c r="D15" s="71">
        <f>USUARIOS!D14</f>
        <v>43600</v>
      </c>
      <c r="E15" s="69" t="str">
        <f>USUARIOS!E14</f>
        <v>Yenny Marcela Herrera Martinez</v>
      </c>
      <c r="F15" s="71">
        <f>USUARIOS!F14</f>
        <v>43557</v>
      </c>
      <c r="G15" s="69" t="str">
        <f>USUARIOS!G14</f>
        <v/>
      </c>
    </row>
    <row r="16" spans="1:67" x14ac:dyDescent="0.25">
      <c r="A16" s="69" t="str">
        <f t="shared" si="0"/>
        <v>DEPARTAMENTO ADMINISTRATIVO DE LA FUNCION PUBLICA</v>
      </c>
      <c r="B16" s="69" t="s">
        <v>3</v>
      </c>
      <c r="C16" s="69" t="str">
        <f>USUARIOS!C15</f>
        <v>Si</v>
      </c>
      <c r="D16" s="71">
        <f>USUARIOS!D15</f>
        <v>42198</v>
      </c>
      <c r="E16" s="69" t="str">
        <f>USUARIOS!E15</f>
        <v xml:space="preserve">Luz Stella Patiño Jurado </v>
      </c>
      <c r="F16" s="71">
        <f>USUARIOS!F15</f>
        <v>44608</v>
      </c>
      <c r="G16" s="69" t="str">
        <f>USUARIOS!G15</f>
        <v/>
      </c>
    </row>
    <row r="17" spans="1:7" x14ac:dyDescent="0.25">
      <c r="A17" s="69" t="str">
        <f t="shared" si="0"/>
        <v>DEPARTAMENTO ADMINISTRATIVO DE LA FUNCION PUBLICA</v>
      </c>
      <c r="B17" s="69" t="s">
        <v>4</v>
      </c>
      <c r="C17" s="69" t="str">
        <f>USUARIOS!C16</f>
        <v>Si</v>
      </c>
      <c r="D17" s="71">
        <f>USUARIOS!D16</f>
        <v>44001</v>
      </c>
      <c r="E17" s="69" t="str">
        <f>USUARIOS!E16</f>
        <v xml:space="preserve">Victor Hugo Calderon Jaramillo </v>
      </c>
      <c r="F17" s="71">
        <f>USUARIOS!F16</f>
        <v>44378</v>
      </c>
      <c r="G17" s="69" t="str">
        <f>USUARIOS!G16</f>
        <v/>
      </c>
    </row>
    <row r="18" spans="1:7" x14ac:dyDescent="0.25">
      <c r="A18" s="69" t="str">
        <f t="shared" si="0"/>
        <v>DEPARTAMENTO ADMINISTRATIVO DE LA FUNCION PUBLICA</v>
      </c>
      <c r="B18" s="69" t="s">
        <v>5</v>
      </c>
      <c r="C18" s="69" t="str">
        <f>USUARIOS!C17</f>
        <v>Si</v>
      </c>
      <c r="D18" s="71">
        <f>USUARIOS!D17</f>
        <v>44118</v>
      </c>
      <c r="E18" s="69" t="str">
        <f>USUARIOS!E17</f>
        <v>Adriana Marcela Ortega Moreno</v>
      </c>
      <c r="F18" s="71">
        <f>USUARIOS!F17</f>
        <v>44378</v>
      </c>
      <c r="G18" s="69"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Jenny Lisbet Agudelo Jimenez</cp:lastModifiedBy>
  <dcterms:created xsi:type="dcterms:W3CDTF">2020-06-25T21:16:25Z</dcterms:created>
  <dcterms:modified xsi:type="dcterms:W3CDTF">2022-03-23T23:07:55Z</dcterms:modified>
</cp:coreProperties>
</file>